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5" yWindow="65521" windowWidth="6150" windowHeight="7140" activeTab="0"/>
  </bookViews>
  <sheets>
    <sheet name="DIEDRE" sheetId="1" r:id="rId1"/>
  </sheets>
  <definedNames>
    <definedName name="A_aile" localSheetId="0">'DIEDRE'!$E$2</definedName>
    <definedName name="CgRel" localSheetId="0">'DIEDRE'!$B$27</definedName>
    <definedName name="CgRel">#REF!</definedName>
    <definedName name="Enverg" localSheetId="0">'DIEDRE'!$D$2</definedName>
    <definedName name="Enverg">#REF!</definedName>
    <definedName name="NbrPan" localSheetId="0">'DIEDRE'!#REF!</definedName>
    <definedName name="NbrPan">#REF!</definedName>
    <definedName name="ofset">'DIEDRE'!$Q$31</definedName>
  </definedNames>
  <calcPr fullCalcOnLoad="1"/>
</workbook>
</file>

<file path=xl/sharedStrings.xml><?xml version="1.0" encoding="utf-8"?>
<sst xmlns="http://schemas.openxmlformats.org/spreadsheetml/2006/main" count="57" uniqueCount="50">
  <si>
    <t>Panneau 1</t>
  </si>
  <si>
    <t>Lm</t>
  </si>
  <si>
    <t>Cm</t>
  </si>
  <si>
    <t>Aire</t>
  </si>
  <si>
    <t>fm</t>
  </si>
  <si>
    <t>CG</t>
  </si>
  <si>
    <t>Levier</t>
  </si>
  <si>
    <t>Moment</t>
  </si>
  <si>
    <t>A 1/2</t>
  </si>
  <si>
    <t>C1</t>
  </si>
  <si>
    <t>P1</t>
  </si>
  <si>
    <t>P2</t>
  </si>
  <si>
    <t>P3</t>
  </si>
  <si>
    <t>P4</t>
  </si>
  <si>
    <t>P5</t>
  </si>
  <si>
    <t>M tot</t>
  </si>
  <si>
    <t>CdG
[%]</t>
  </si>
  <si>
    <t>CdG
[mm]</t>
  </si>
  <si>
    <t>Lp…</t>
  </si>
  <si>
    <t>f….</t>
  </si>
  <si>
    <t>C2;
C2'...</t>
  </si>
  <si>
    <t>Aire aile
[dm2]</t>
  </si>
  <si>
    <t>Enver.
[m]</t>
  </si>
  <si>
    <t>Allong.</t>
  </si>
  <si>
    <t>Données graphique plan d'aile</t>
  </si>
  <si>
    <t>DIEDRE COMPOSE</t>
  </si>
  <si>
    <t>Mment lateral</t>
  </si>
  <si>
    <t>L foyer</t>
  </si>
  <si>
    <t>Dièdre 1</t>
  </si>
  <si>
    <t>Dièdre 2</t>
  </si>
  <si>
    <t>Dièdre 3</t>
  </si>
  <si>
    <t>Dièdre 4</t>
  </si>
  <si>
    <t>Dièdre 5</t>
  </si>
  <si>
    <t>Cmoy</t>
  </si>
  <si>
    <t>Corde-moy.
[mm]</t>
  </si>
  <si>
    <r>
      <t>d</t>
    </r>
    <r>
      <rPr>
        <b/>
        <sz val="12"/>
        <rFont val="Arial"/>
        <family val="2"/>
      </rPr>
      <t xml:space="preserve"> [deg]</t>
    </r>
  </si>
  <si>
    <t>SAISIE PLAN D' AILE (fin C2=0)</t>
  </si>
  <si>
    <t>DIEDRE</t>
  </si>
  <si>
    <t>hauteur</t>
  </si>
  <si>
    <t>h [mm]</t>
  </si>
  <si>
    <t>cale</t>
  </si>
  <si>
    <t>c [mm]</t>
  </si>
  <si>
    <t>projection</t>
  </si>
  <si>
    <t>mm2</t>
  </si>
  <si>
    <t>[dm2]</t>
  </si>
  <si>
    <t>graphique dièdre</t>
  </si>
  <si>
    <t>ofset Y =</t>
  </si>
  <si>
    <t>projection
verticale</t>
  </si>
  <si>
    <t>projetée</t>
  </si>
  <si>
    <t>1/2 aile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</si>
</sst>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E+00"/>
    <numFmt numFmtId="182" formatCode="0.0000"/>
    <numFmt numFmtId="183" formatCode="0.000"/>
    <numFmt numFmtId="184" formatCode="0.0&quot; g/dm2&quot;"/>
    <numFmt numFmtId="185" formatCode="0.00&quot; dm²&quot;"/>
    <numFmt numFmtId="186" formatCode="0.0&quot; dm²&quot;"/>
    <numFmt numFmtId="187" formatCode="0&quot; mm&quot;"/>
    <numFmt numFmtId="188" formatCode="0&quot; °&quot;"/>
    <numFmt numFmtId="189" formatCode="General&quot; g&quot;"/>
    <numFmt numFmtId="190" formatCode="0.000000"/>
    <numFmt numFmtId="191" formatCode="0.00000"/>
    <numFmt numFmtId="192" formatCode="_ * #,##0.000_ ;_ * \-#,##0.000_ ;_ * &quot;-&quot;??_ ;_ @_ "/>
    <numFmt numFmtId="193" formatCode="#,##0_ ;\-#,##0\ "/>
    <numFmt numFmtId="194" formatCode="0&quot; m&quot;"/>
    <numFmt numFmtId="195" formatCode="0&quot; %&quot;"/>
    <numFmt numFmtId="196" formatCode="0.0&quot; m&quot;"/>
  </numFmts>
  <fonts count="1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4.5"/>
      <name val="Arial"/>
      <family val="0"/>
    </font>
    <font>
      <sz val="9.5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2"/>
      </patternFill>
    </fill>
    <fill>
      <patternFill patternType="gray0625"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 horizontal="left"/>
    </xf>
    <xf numFmtId="180" fontId="0" fillId="0" borderId="0" xfId="0" applyNumberFormat="1" applyFill="1" applyAlignment="1">
      <alignment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180" fontId="0" fillId="0" borderId="2" xfId="0" applyNumberFormat="1" applyFill="1" applyBorder="1" applyAlignment="1">
      <alignment horizontal="left"/>
    </xf>
    <xf numFmtId="180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 horizontal="left"/>
    </xf>
    <xf numFmtId="180" fontId="0" fillId="0" borderId="0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180" fontId="0" fillId="0" borderId="7" xfId="0" applyNumberFormat="1" applyFill="1" applyBorder="1" applyAlignment="1">
      <alignment horizontal="left"/>
    </xf>
    <xf numFmtId="180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180" fontId="0" fillId="0" borderId="10" xfId="0" applyNumberFormat="1" applyFill="1" applyBorder="1" applyAlignment="1">
      <alignment horizontal="left"/>
    </xf>
    <xf numFmtId="180" fontId="0" fillId="0" borderId="11" xfId="0" applyNumberFormat="1" applyFill="1" applyBorder="1" applyAlignment="1">
      <alignment horizontal="left"/>
    </xf>
    <xf numFmtId="180" fontId="0" fillId="0" borderId="11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86" fontId="7" fillId="0" borderId="0" xfId="0" applyNumberFormat="1" applyFont="1" applyFill="1" applyBorder="1" applyAlignment="1">
      <alignment horizontal="center"/>
    </xf>
    <xf numFmtId="187" fontId="7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 applyProtection="1">
      <alignment/>
      <protection locked="0"/>
    </xf>
    <xf numFmtId="180" fontId="0" fillId="0" borderId="0" xfId="0" applyNumberFormat="1" applyFill="1" applyBorder="1" applyAlignment="1" applyProtection="1">
      <alignment horizontal="left"/>
      <protection locked="0"/>
    </xf>
    <xf numFmtId="180" fontId="0" fillId="0" borderId="0" xfId="0" applyNumberFormat="1" applyFill="1" applyBorder="1" applyAlignment="1" applyProtection="1">
      <alignment/>
      <protection locked="0"/>
    </xf>
    <xf numFmtId="189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17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horizontal="left"/>
    </xf>
    <xf numFmtId="18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80" fontId="0" fillId="0" borderId="12" xfId="0" applyNumberFormat="1" applyFon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81" fontId="0" fillId="0" borderId="13" xfId="0" applyNumberFormat="1" applyFont="1" applyFill="1" applyBorder="1" applyAlignment="1">
      <alignment horizontal="center"/>
    </xf>
    <xf numFmtId="171" fontId="0" fillId="0" borderId="14" xfId="17" applyFont="1" applyFill="1" applyBorder="1" applyAlignment="1">
      <alignment/>
    </xf>
    <xf numFmtId="171" fontId="0" fillId="0" borderId="13" xfId="17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1" fontId="0" fillId="0" borderId="14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80" fontId="13" fillId="2" borderId="21" xfId="0" applyNumberFormat="1" applyFont="1" applyFill="1" applyBorder="1" applyAlignment="1">
      <alignment horizontal="center" wrapText="1"/>
    </xf>
    <xf numFmtId="1" fontId="0" fillId="0" borderId="4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2" fontId="14" fillId="3" borderId="13" xfId="0" applyNumberFormat="1" applyFont="1" applyFill="1" applyBorder="1" applyAlignment="1" applyProtection="1">
      <alignment horizontal="center"/>
      <protection locked="0"/>
    </xf>
    <xf numFmtId="0" fontId="0" fillId="4" borderId="22" xfId="0" applyFont="1" applyFill="1" applyBorder="1" applyAlignment="1" applyProtection="1">
      <alignment horizontal="center"/>
      <protection/>
    </xf>
    <xf numFmtId="0" fontId="14" fillId="3" borderId="23" xfId="0" applyFont="1" applyFill="1" applyBorder="1" applyAlignment="1" applyProtection="1">
      <alignment horizontal="center"/>
      <protection locked="0"/>
    </xf>
    <xf numFmtId="0" fontId="14" fillId="3" borderId="13" xfId="0" applyFont="1" applyFill="1" applyBorder="1" applyAlignment="1" applyProtection="1">
      <alignment horizontal="center"/>
      <protection locked="0"/>
    </xf>
    <xf numFmtId="0" fontId="14" fillId="3" borderId="24" xfId="0" applyFont="1" applyFill="1" applyBorder="1" applyAlignment="1" applyProtection="1">
      <alignment horizontal="center"/>
      <protection locked="0"/>
    </xf>
    <xf numFmtId="0" fontId="14" fillId="5" borderId="25" xfId="0" applyFont="1" applyFill="1" applyBorder="1" applyAlignment="1" applyProtection="1">
      <alignment horizontal="center"/>
      <protection locked="0"/>
    </xf>
    <xf numFmtId="0" fontId="14" fillId="5" borderId="13" xfId="0" applyFont="1" applyFill="1" applyBorder="1" applyAlignment="1" applyProtection="1">
      <alignment horizontal="center"/>
      <protection locked="0"/>
    </xf>
    <xf numFmtId="0" fontId="14" fillId="5" borderId="24" xfId="0" applyFont="1" applyFill="1" applyBorder="1" applyAlignment="1" applyProtection="1">
      <alignment horizontal="center"/>
      <protection locked="0"/>
    </xf>
    <xf numFmtId="0" fontId="14" fillId="3" borderId="25" xfId="0" applyFont="1" applyFill="1" applyBorder="1" applyAlignment="1" applyProtection="1">
      <alignment horizontal="center"/>
      <protection locked="0"/>
    </xf>
    <xf numFmtId="0" fontId="14" fillId="3" borderId="26" xfId="0" applyFont="1" applyFill="1" applyBorder="1" applyAlignment="1" applyProtection="1">
      <alignment horizontal="center"/>
      <protection locked="0"/>
    </xf>
    <xf numFmtId="0" fontId="14" fillId="3" borderId="27" xfId="0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left" vertical="center" wrapText="1"/>
      <protection locked="0"/>
    </xf>
    <xf numFmtId="0" fontId="0" fillId="7" borderId="0" xfId="0" applyFill="1" applyBorder="1" applyAlignment="1">
      <alignment/>
    </xf>
    <xf numFmtId="0" fontId="4" fillId="8" borderId="25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181" fontId="1" fillId="0" borderId="29" xfId="0" applyNumberFormat="1" applyFont="1" applyFill="1" applyBorder="1" applyAlignment="1">
      <alignment horizontal="center"/>
    </xf>
    <xf numFmtId="180" fontId="1" fillId="0" borderId="29" xfId="0" applyNumberFormat="1" applyFont="1" applyFill="1" applyBorder="1" applyAlignment="1">
      <alignment horizontal="center"/>
    </xf>
    <xf numFmtId="171" fontId="0" fillId="0" borderId="29" xfId="17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80" fontId="12" fillId="0" borderId="0" xfId="0" applyNumberFormat="1" applyFont="1" applyFill="1" applyBorder="1" applyAlignment="1">
      <alignment horizontal="left"/>
    </xf>
    <xf numFmtId="180" fontId="12" fillId="0" borderId="0" xfId="0" applyNumberFormat="1" applyFont="1" applyFill="1" applyBorder="1" applyAlignment="1">
      <alignment/>
    </xf>
    <xf numFmtId="171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 applyProtection="1">
      <alignment horizontal="center"/>
      <protection locked="0"/>
    </xf>
    <xf numFmtId="2" fontId="14" fillId="3" borderId="30" xfId="0" applyNumberFormat="1" applyFont="1" applyFill="1" applyBorder="1" applyAlignment="1" applyProtection="1">
      <alignment horizontal="center"/>
      <protection locked="0"/>
    </xf>
    <xf numFmtId="2" fontId="14" fillId="3" borderId="28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180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 applyProtection="1">
      <alignment horizontal="center"/>
      <protection/>
    </xf>
    <xf numFmtId="180" fontId="0" fillId="0" borderId="11" xfId="0" applyNumberForma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0" fillId="0" borderId="31" xfId="0" applyNumberFormat="1" applyFill="1" applyBorder="1" applyAlignment="1">
      <alignment/>
    </xf>
    <xf numFmtId="2" fontId="0" fillId="0" borderId="22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/>
    </xf>
    <xf numFmtId="1" fontId="0" fillId="0" borderId="33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80" fontId="0" fillId="0" borderId="31" xfId="0" applyNumberFormat="1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180" fontId="0" fillId="0" borderId="22" xfId="0" applyNumberFormat="1" applyFill="1" applyBorder="1" applyAlignment="1">
      <alignment/>
    </xf>
    <xf numFmtId="0" fontId="12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 horizontal="left"/>
    </xf>
    <xf numFmtId="180" fontId="0" fillId="0" borderId="0" xfId="0" applyNumberFormat="1" applyFont="1" applyFill="1" applyBorder="1" applyAlignment="1">
      <alignment/>
    </xf>
    <xf numFmtId="0" fontId="13" fillId="0" borderId="35" xfId="0" applyFont="1" applyFill="1" applyBorder="1" applyAlignment="1" applyProtection="1">
      <alignment horizontal="center"/>
      <protection locked="0"/>
    </xf>
    <xf numFmtId="1" fontId="13" fillId="0" borderId="35" xfId="0" applyNumberFormat="1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>
      <alignment horizontal="center" vertical="center" wrapText="1"/>
    </xf>
    <xf numFmtId="180" fontId="13" fillId="0" borderId="35" xfId="0" applyNumberFormat="1" applyFont="1" applyFill="1" applyBorder="1" applyAlignment="1">
      <alignment horizontal="center" wrapText="1"/>
    </xf>
    <xf numFmtId="180" fontId="12" fillId="0" borderId="35" xfId="0" applyNumberFormat="1" applyFont="1" applyFill="1" applyBorder="1" applyAlignment="1">
      <alignment horizontal="left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15" fillId="8" borderId="22" xfId="0" applyFont="1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4" fillId="8" borderId="41" xfId="0" applyFont="1" applyFill="1" applyBorder="1" applyAlignment="1">
      <alignment horizontal="center"/>
    </xf>
    <xf numFmtId="0" fontId="4" fillId="8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 vertical="center"/>
    </xf>
    <xf numFmtId="180" fontId="13" fillId="2" borderId="13" xfId="0" applyNumberFormat="1" applyFont="1" applyFill="1" applyBorder="1" applyAlignment="1" applyProtection="1">
      <alignment horizontal="center"/>
      <protection locked="0"/>
    </xf>
    <xf numFmtId="180" fontId="13" fillId="2" borderId="44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>
      <alignment/>
    </xf>
    <xf numFmtId="2" fontId="7" fillId="0" borderId="3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  <protection locked="0"/>
    </xf>
    <xf numFmtId="2" fontId="14" fillId="3" borderId="45" xfId="0" applyNumberFormat="1" applyFont="1" applyFill="1" applyBorder="1" applyAlignment="1" applyProtection="1">
      <alignment horizontal="center"/>
      <protection locked="0"/>
    </xf>
    <xf numFmtId="180" fontId="13" fillId="2" borderId="45" xfId="0" applyNumberFormat="1" applyFont="1" applyFill="1" applyBorder="1" applyAlignment="1" applyProtection="1">
      <alignment horizontal="center"/>
      <protection locked="0"/>
    </xf>
    <xf numFmtId="180" fontId="13" fillId="2" borderId="46" xfId="0" applyNumberFormat="1" applyFont="1" applyFill="1" applyBorder="1" applyAlignment="1" applyProtection="1">
      <alignment horizontal="center"/>
      <protection locked="0"/>
    </xf>
    <xf numFmtId="187" fontId="13" fillId="2" borderId="47" xfId="0" applyNumberFormat="1" applyFont="1" applyFill="1" applyBorder="1" applyAlignment="1">
      <alignment horizontal="center"/>
    </xf>
    <xf numFmtId="195" fontId="13" fillId="2" borderId="42" xfId="0" applyNumberFormat="1" applyFont="1" applyFill="1" applyBorder="1" applyAlignment="1" applyProtection="1">
      <alignment horizontal="center"/>
      <protection locked="0"/>
    </xf>
    <xf numFmtId="187" fontId="13" fillId="2" borderId="45" xfId="0" applyNumberFormat="1" applyFont="1" applyFill="1" applyBorder="1" applyAlignment="1" applyProtection="1">
      <alignment horizontal="center"/>
      <protection locked="0"/>
    </xf>
    <xf numFmtId="0" fontId="0" fillId="0" borderId="33" xfId="0" applyFill="1" applyBorder="1" applyAlignment="1">
      <alignment/>
    </xf>
    <xf numFmtId="186" fontId="13" fillId="2" borderId="48" xfId="0" applyNumberFormat="1" applyFont="1" applyFill="1" applyBorder="1" applyAlignment="1">
      <alignment horizontal="center" wrapText="1"/>
    </xf>
    <xf numFmtId="196" fontId="13" fillId="2" borderId="45" xfId="0" applyNumberFormat="1" applyFont="1" applyFill="1" applyBorder="1" applyAlignment="1">
      <alignment horizontal="center" wrapText="1"/>
    </xf>
    <xf numFmtId="0" fontId="4" fillId="8" borderId="49" xfId="0" applyFont="1" applyFill="1" applyBorder="1" applyAlignment="1">
      <alignment horizontal="center"/>
    </xf>
    <xf numFmtId="0" fontId="4" fillId="8" borderId="50" xfId="0" applyFont="1" applyFill="1" applyBorder="1" applyAlignment="1">
      <alignment horizontal="center"/>
    </xf>
    <xf numFmtId="0" fontId="4" fillId="8" borderId="51" xfId="0" applyFont="1" applyFill="1" applyBorder="1" applyAlignment="1">
      <alignment horizontal="center"/>
    </xf>
    <xf numFmtId="2" fontId="0" fillId="0" borderId="52" xfId="0" applyNumberFormat="1" applyFont="1" applyFill="1" applyBorder="1" applyAlignment="1" applyProtection="1">
      <alignment horizontal="center"/>
      <protection/>
    </xf>
    <xf numFmtId="0" fontId="4" fillId="2" borderId="5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 val="0"/>
        <i val="0"/>
        <strike/>
        <color rgb="FF008000"/>
      </font>
      <fill>
        <patternFill patternType="lightHorizontal">
          <bgColor rgb="FFC0C0C0"/>
        </patternFill>
      </fill>
      <border/>
    </dxf>
    <dxf>
      <font>
        <color rgb="FFC0C0C0"/>
      </font>
      <fill>
        <patternFill patternType="lightHorizontal"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34"/>
          <c:w val="0.936"/>
          <c:h val="0.6785"/>
        </c:manualLayout>
      </c:layout>
      <c:scatterChart>
        <c:scatterStyle val="line"/>
        <c:varyColors val="0"/>
        <c:ser>
          <c:idx val="0"/>
          <c:order val="0"/>
          <c:tx>
            <c:v>Panneau1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xVal>
            <c:numRef>
              <c:f>DIEDRE!$C$10:$C$14</c:f>
              <c:numCache>
                <c:ptCount val="5"/>
                <c:pt idx="0">
                  <c:v>0</c:v>
                </c:pt>
                <c:pt idx="1">
                  <c:v>898.4523534901671</c:v>
                </c:pt>
                <c:pt idx="2">
                  <c:v>898.4523534901671</c:v>
                </c:pt>
                <c:pt idx="3">
                  <c:v>0</c:v>
                </c:pt>
              </c:numCache>
            </c:numRef>
          </c:xVal>
          <c:yVal>
            <c:numRef>
              <c:f>DIEDRE!$D$10:$D$14</c:f>
              <c:numCache>
                <c:ptCount val="5"/>
                <c:pt idx="0">
                  <c:v>0</c:v>
                </c:pt>
                <c:pt idx="1">
                  <c:v>-17</c:v>
                </c:pt>
                <c:pt idx="2">
                  <c:v>-227</c:v>
                </c:pt>
                <c:pt idx="3">
                  <c:v>-230</c:v>
                </c:pt>
              </c:numCache>
            </c:numRef>
          </c:yVal>
          <c:smooth val="0"/>
        </c:ser>
        <c:ser>
          <c:idx val="1"/>
          <c:order val="1"/>
          <c:tx>
            <c:v>P2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DIEDRE!$F$10:$F$14</c:f>
              <c:numCache>
                <c:ptCount val="5"/>
                <c:pt idx="0">
                  <c:v>898.4523534901671</c:v>
                </c:pt>
                <c:pt idx="1">
                  <c:v>1690.6668084834232</c:v>
                </c:pt>
                <c:pt idx="2">
                  <c:v>1690.6668084834232</c:v>
                </c:pt>
                <c:pt idx="3">
                  <c:v>898.4523534901671</c:v>
                </c:pt>
              </c:numCache>
            </c:numRef>
          </c:xVal>
          <c:yVal>
            <c:numRef>
              <c:f>DIEDRE!$G$10:$G$14</c:f>
              <c:numCache>
                <c:ptCount val="5"/>
                <c:pt idx="0">
                  <c:v>-17</c:v>
                </c:pt>
                <c:pt idx="1">
                  <c:v>-78</c:v>
                </c:pt>
                <c:pt idx="2">
                  <c:v>-258</c:v>
                </c:pt>
                <c:pt idx="3">
                  <c:v>-227</c:v>
                </c:pt>
              </c:numCache>
            </c:numRef>
          </c:yVal>
          <c:smooth val="0"/>
        </c:ser>
        <c:ser>
          <c:idx val="2"/>
          <c:order val="2"/>
          <c:tx>
            <c:v>P3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DIEDRE!$I$10:$I$13</c:f>
              <c:numCache>
                <c:ptCount val="4"/>
                <c:pt idx="0">
                  <c:v>1690.6668084834232</c:v>
                </c:pt>
                <c:pt idx="1">
                  <c:v>1936.8687467364753</c:v>
                </c:pt>
                <c:pt idx="2">
                  <c:v>1936.8687467364753</c:v>
                </c:pt>
                <c:pt idx="3">
                  <c:v>1690.6668084834232</c:v>
                </c:pt>
              </c:numCache>
            </c:numRef>
          </c:xVal>
          <c:yVal>
            <c:numRef>
              <c:f>DIEDRE!$J$10:$J$13</c:f>
              <c:numCache>
                <c:ptCount val="4"/>
                <c:pt idx="0">
                  <c:v>-78</c:v>
                </c:pt>
                <c:pt idx="1">
                  <c:v>-122</c:v>
                </c:pt>
                <c:pt idx="2">
                  <c:v>-242</c:v>
                </c:pt>
                <c:pt idx="3">
                  <c:v>-258</c:v>
                </c:pt>
              </c:numCache>
            </c:numRef>
          </c:yVal>
          <c:smooth val="0"/>
        </c:ser>
        <c:ser>
          <c:idx val="3"/>
          <c:order val="3"/>
          <c:tx>
            <c:v>P4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DIEDRE!$L$10:$L$13</c:f>
              <c:numCache>
                <c:ptCount val="4"/>
                <c:pt idx="0">
                  <c:v>1936.8687467364753</c:v>
                </c:pt>
                <c:pt idx="1">
                  <c:v>2023.471287114919</c:v>
                </c:pt>
                <c:pt idx="2">
                  <c:v>2023.471287114919</c:v>
                </c:pt>
                <c:pt idx="3">
                  <c:v>1936.8687467364753</c:v>
                </c:pt>
              </c:numCache>
            </c:numRef>
          </c:xVal>
          <c:yVal>
            <c:numRef>
              <c:f>DIEDRE!$M$10:$M$13</c:f>
              <c:numCache>
                <c:ptCount val="4"/>
                <c:pt idx="0">
                  <c:v>-122</c:v>
                </c:pt>
                <c:pt idx="1">
                  <c:v>-160</c:v>
                </c:pt>
                <c:pt idx="2">
                  <c:v>-240</c:v>
                </c:pt>
                <c:pt idx="3">
                  <c:v>-242</c:v>
                </c:pt>
              </c:numCache>
            </c:numRef>
          </c:yVal>
          <c:smooth val="0"/>
        </c:ser>
        <c:ser>
          <c:idx val="4"/>
          <c:order val="4"/>
          <c:tx>
            <c:v>P5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DIEDRE!$O$10:$O$13</c:f>
              <c:numCache>
                <c:ptCount val="4"/>
                <c:pt idx="0">
                  <c:v>2023.471287114919</c:v>
                </c:pt>
                <c:pt idx="1">
                  <c:v>2023.471287114919</c:v>
                </c:pt>
                <c:pt idx="2">
                  <c:v>2023.471287114919</c:v>
                </c:pt>
                <c:pt idx="3">
                  <c:v>2023.471287114919</c:v>
                </c:pt>
              </c:numCache>
            </c:numRef>
          </c:xVal>
          <c:yVal>
            <c:numRef>
              <c:f>DIEDRE!$P$10:$P$13</c:f>
              <c:numCache>
                <c:ptCount val="4"/>
                <c:pt idx="0">
                  <c:v>-160</c:v>
                </c:pt>
                <c:pt idx="1">
                  <c:v>-200</c:v>
                </c:pt>
                <c:pt idx="2">
                  <c:v>-220</c:v>
                </c:pt>
                <c:pt idx="3">
                  <c:v>-240</c:v>
                </c:pt>
              </c:numCache>
            </c:numRef>
          </c:yVal>
          <c:smooth val="0"/>
        </c:ser>
        <c:ser>
          <c:idx val="5"/>
          <c:order val="5"/>
          <c:tx>
            <c:v>CdG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DIEDRE!$R$10:$R$11</c:f>
              <c:numCache>
                <c:ptCount val="2"/>
                <c:pt idx="0">
                  <c:v>0</c:v>
                </c:pt>
                <c:pt idx="1">
                  <c:v>995.6034845708059</c:v>
                </c:pt>
              </c:numCache>
            </c:numRef>
          </c:xVal>
          <c:yVal>
            <c:numRef>
              <c:f>DIEDRE!$S$10:$S$11</c:f>
              <c:numCache>
                <c:ptCount val="2"/>
                <c:pt idx="0">
                  <c:v>-95.93952564928098</c:v>
                </c:pt>
                <c:pt idx="1">
                  <c:v>-95.93952564928098</c:v>
                </c:pt>
              </c:numCache>
            </c:numRef>
          </c:yVal>
          <c:smooth val="0"/>
        </c:ser>
        <c:ser>
          <c:idx val="7"/>
          <c:order val="6"/>
          <c:tx>
            <c:v>Cmoy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DIEDRE!$T$10:$T$11</c:f>
              <c:numCache>
                <c:ptCount val="2"/>
                <c:pt idx="0">
                  <c:v>945.6034845708059</c:v>
                </c:pt>
                <c:pt idx="1">
                  <c:v>945.6034845708059</c:v>
                </c:pt>
              </c:numCache>
            </c:numRef>
          </c:xVal>
          <c:yVal>
            <c:numRef>
              <c:f>DIEDRE!$U$10:$U$11</c:f>
              <c:numCache>
                <c:ptCount val="2"/>
                <c:pt idx="0">
                  <c:v>-45.93952564928098</c:v>
                </c:pt>
                <c:pt idx="1">
                  <c:v>-145.939525649281</c:v>
                </c:pt>
              </c:numCache>
            </c:numRef>
          </c:yVal>
          <c:smooth val="0"/>
        </c:ser>
        <c:ser>
          <c:idx val="6"/>
          <c:order val="7"/>
          <c:tx>
            <c:v>diedre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DIEDRE!$M$31:$M$36</c:f>
              <c:numCache>
                <c:ptCount val="6"/>
                <c:pt idx="0">
                  <c:v>0</c:v>
                </c:pt>
                <c:pt idx="1">
                  <c:v>898.4523534901671</c:v>
                </c:pt>
                <c:pt idx="2">
                  <c:v>1690.6668084834232</c:v>
                </c:pt>
                <c:pt idx="3">
                  <c:v>1936.8687467364753</c:v>
                </c:pt>
                <c:pt idx="4">
                  <c:v>2023.471287114919</c:v>
                </c:pt>
                <c:pt idx="5">
                  <c:v>2023.471287114919</c:v>
                </c:pt>
              </c:numCache>
            </c:numRef>
          </c:xVal>
          <c:yVal>
            <c:numRef>
              <c:f>DIEDRE!$N$31:$N$36</c:f>
              <c:numCache>
                <c:ptCount val="6"/>
                <c:pt idx="0">
                  <c:v>50</c:v>
                </c:pt>
                <c:pt idx="1">
                  <c:v>81.37464753554838</c:v>
                </c:pt>
                <c:pt idx="2">
                  <c:v>192.7131283036007</c:v>
                </c:pt>
                <c:pt idx="3">
                  <c:v>236.1251727203333</c:v>
                </c:pt>
                <c:pt idx="4">
                  <c:v>286.1251727203333</c:v>
                </c:pt>
                <c:pt idx="5">
                  <c:v>336.1251727203333</c:v>
                </c:pt>
              </c:numCache>
            </c:numRef>
          </c:yVal>
          <c:smooth val="0"/>
        </c:ser>
        <c:axId val="31804845"/>
        <c:axId val="17808150"/>
      </c:scatterChart>
      <c:valAx>
        <c:axId val="31804845"/>
        <c:scaling>
          <c:orientation val="minMax"/>
          <c:max val="300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crossAx val="17808150"/>
        <c:crossesAt val="0"/>
        <c:crossBetween val="midCat"/>
        <c:dispUnits/>
        <c:majorUnit val="200"/>
        <c:minorUnit val="40"/>
      </c:valAx>
      <c:valAx>
        <c:axId val="17808150"/>
        <c:scaling>
          <c:orientation val="minMax"/>
          <c:max val="300"/>
          <c:min val="-300"/>
        </c:scaling>
        <c:axPos val="l"/>
        <c:delete val="0"/>
        <c:numFmt formatCode="General" sourceLinked="1"/>
        <c:majorTickMark val="none"/>
        <c:minorTickMark val="none"/>
        <c:tickLblPos val="none"/>
        <c:crossAx val="31804845"/>
        <c:crossesAt val="0"/>
        <c:crossBetween val="midCat"/>
        <c:dispUnits/>
        <c:majorUnit val="1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25"/>
          <c:y val="0.811"/>
          <c:w val="0.57525"/>
          <c:h val="0.163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29</xdr:row>
      <xdr:rowOff>19050</xdr:rowOff>
    </xdr:from>
    <xdr:to>
      <xdr:col>0</xdr:col>
      <xdr:colOff>6076950</xdr:colOff>
      <xdr:row>38</xdr:row>
      <xdr:rowOff>133350</xdr:rowOff>
    </xdr:to>
    <xdr:pic>
      <xdr:nvPicPr>
        <xdr:cNvPr id="1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447925"/>
          <a:ext cx="5715000" cy="1571625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361950</xdr:colOff>
      <xdr:row>40</xdr:row>
      <xdr:rowOff>38100</xdr:rowOff>
    </xdr:from>
    <xdr:to>
      <xdr:col>6</xdr:col>
      <xdr:colOff>657225</xdr:colOff>
      <xdr:row>59</xdr:row>
      <xdr:rowOff>19050</xdr:rowOff>
    </xdr:to>
    <xdr:graphicFrame>
      <xdr:nvGraphicFramePr>
        <xdr:cNvPr id="2" name="Chart 1"/>
        <xdr:cNvGraphicFramePr/>
      </xdr:nvGraphicFramePr>
      <xdr:xfrm>
        <a:off x="361950" y="4248150"/>
        <a:ext cx="1015365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266700</xdr:colOff>
      <xdr:row>17</xdr:row>
      <xdr:rowOff>114300</xdr:rowOff>
    </xdr:from>
    <xdr:to>
      <xdr:col>21</xdr:col>
      <xdr:colOff>47625</xdr:colOff>
      <xdr:row>21</xdr:row>
      <xdr:rowOff>57150</xdr:rowOff>
    </xdr:to>
    <xdr:sp>
      <xdr:nvSpPr>
        <xdr:cNvPr id="3" name="TextBox 190"/>
        <xdr:cNvSpPr txBox="1">
          <a:spLocks noChangeArrowheads="1"/>
        </xdr:cNvSpPr>
      </xdr:nvSpPr>
      <xdr:spPr>
        <a:xfrm>
          <a:off x="10125075" y="276225"/>
          <a:ext cx="1362075" cy="5905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La valeur "C2" des panneaux non utilisés doit être à "0"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8:W63"/>
  <sheetViews>
    <sheetView tabSelected="1" workbookViewId="0" topLeftCell="A1">
      <selection activeCell="U28" sqref="U28"/>
    </sheetView>
  </sheetViews>
  <sheetFormatPr defaultColWidth="11.421875" defaultRowHeight="12.75" customHeight="1"/>
  <cols>
    <col min="1" max="1" width="93.7109375" style="1" customWidth="1"/>
    <col min="2" max="2" width="10.28125" style="1" customWidth="1"/>
    <col min="3" max="3" width="11.7109375" style="1" customWidth="1"/>
    <col min="4" max="6" width="10.7109375" style="1" customWidth="1"/>
    <col min="7" max="7" width="12.140625" style="2" customWidth="1"/>
    <col min="8" max="8" width="4.421875" style="2" hidden="1" customWidth="1"/>
    <col min="9" max="9" width="7.140625" style="2" hidden="1" customWidth="1"/>
    <col min="10" max="10" width="9.421875" style="2" hidden="1" customWidth="1"/>
    <col min="11" max="11" width="6.00390625" style="2" hidden="1" customWidth="1"/>
    <col min="12" max="12" width="11.00390625" style="2" hidden="1" customWidth="1"/>
    <col min="13" max="13" width="9.8515625" style="3" hidden="1" customWidth="1"/>
    <col min="14" max="15" width="11.57421875" style="1" hidden="1" customWidth="1"/>
    <col min="16" max="16" width="13.140625" style="1" hidden="1" customWidth="1"/>
    <col min="17" max="20" width="11.57421875" style="1" hidden="1" customWidth="1"/>
    <col min="21" max="16384" width="11.57421875" style="1" customWidth="1"/>
  </cols>
  <sheetData>
    <row r="1" ht="12.75" customHeight="1" thickBot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 thickBot="1"/>
    <row r="8" spans="3:21" ht="12.75" customHeight="1" hidden="1">
      <c r="C8" s="6" t="s">
        <v>24</v>
      </c>
      <c r="D8" s="7"/>
      <c r="E8" s="7"/>
      <c r="F8" s="7"/>
      <c r="G8" s="8"/>
      <c r="H8" s="8"/>
      <c r="I8" s="8"/>
      <c r="J8" s="8"/>
      <c r="K8" s="8"/>
      <c r="L8" s="8"/>
      <c r="M8" s="9"/>
      <c r="N8" s="7"/>
      <c r="O8" s="7"/>
      <c r="P8" s="7"/>
      <c r="Q8" s="7"/>
      <c r="R8" s="7"/>
      <c r="S8" s="7"/>
      <c r="T8" s="7"/>
      <c r="U8" s="10"/>
    </row>
    <row r="9" spans="3:21" ht="12.75" customHeight="1" hidden="1">
      <c r="C9" s="15" t="s">
        <v>10</v>
      </c>
      <c r="D9" s="11"/>
      <c r="E9" s="11"/>
      <c r="F9" s="11" t="s">
        <v>11</v>
      </c>
      <c r="G9" s="12"/>
      <c r="H9" s="12"/>
      <c r="I9" s="12" t="s">
        <v>12</v>
      </c>
      <c r="J9" s="12"/>
      <c r="K9" s="12"/>
      <c r="L9" s="12" t="s">
        <v>13</v>
      </c>
      <c r="M9" s="13"/>
      <c r="N9" s="11"/>
      <c r="O9" s="11" t="s">
        <v>14</v>
      </c>
      <c r="P9" s="11"/>
      <c r="Q9" s="11"/>
      <c r="R9" s="11" t="s">
        <v>5</v>
      </c>
      <c r="S9" s="11"/>
      <c r="T9" s="11" t="s">
        <v>33</v>
      </c>
      <c r="U9" s="14"/>
    </row>
    <row r="10" spans="3:21" ht="12.75" customHeight="1" hidden="1">
      <c r="C10" s="15">
        <v>0</v>
      </c>
      <c r="D10" s="11">
        <v>0</v>
      </c>
      <c r="E10" s="11"/>
      <c r="F10" s="11">
        <f>C11</f>
        <v>898.4523534901671</v>
      </c>
      <c r="G10" s="12">
        <f>D11</f>
        <v>-17</v>
      </c>
      <c r="H10" s="12"/>
      <c r="I10" s="12">
        <f>F11</f>
        <v>1690.6668084834232</v>
      </c>
      <c r="J10" s="12">
        <f>G11</f>
        <v>-78</v>
      </c>
      <c r="K10" s="12"/>
      <c r="L10" s="12">
        <f>I11</f>
        <v>1936.8687467364753</v>
      </c>
      <c r="M10" s="13">
        <f>J11</f>
        <v>-122</v>
      </c>
      <c r="N10" s="11"/>
      <c r="O10" s="13">
        <f>L11</f>
        <v>2023.471287114919</v>
      </c>
      <c r="P10" s="13">
        <f>M11</f>
        <v>-160</v>
      </c>
      <c r="Q10" s="11"/>
      <c r="R10" s="11">
        <v>0</v>
      </c>
      <c r="S10" s="13">
        <f>-C27</f>
        <v>-95.93952564928098</v>
      </c>
      <c r="T10" s="63">
        <f>R20</f>
        <v>945.6034845708059</v>
      </c>
      <c r="U10" s="74">
        <f>-C27+50</f>
        <v>-45.93952564928098</v>
      </c>
    </row>
    <row r="11" spans="3:21" ht="12.75" customHeight="1" hidden="1">
      <c r="C11" s="15">
        <f>E20*COS(RADIANS(C32))</f>
        <v>898.4523534901671</v>
      </c>
      <c r="D11" s="11">
        <f>-F20</f>
        <v>-17</v>
      </c>
      <c r="E11" s="11"/>
      <c r="F11" s="11">
        <f>F10+E21*COS(RADIANS(C33))</f>
        <v>1690.6668084834232</v>
      </c>
      <c r="G11" s="11">
        <f>IF(F21&lt;&gt;0,-F21,D11)</f>
        <v>-78</v>
      </c>
      <c r="H11" s="12"/>
      <c r="I11" s="12">
        <f>I10+E22*COS(RADIANS(C34))</f>
        <v>1936.8687467364753</v>
      </c>
      <c r="J11" s="11">
        <f>IF(F22&lt;&gt;0,-F22,G11)</f>
        <v>-122</v>
      </c>
      <c r="K11" s="12"/>
      <c r="L11" s="12">
        <f>L10+E23*COS(RADIANS(C35))</f>
        <v>2023.471287114919</v>
      </c>
      <c r="M11" s="11">
        <f>IF(F23&lt;&gt;0,-F23,J11)</f>
        <v>-160</v>
      </c>
      <c r="N11" s="11"/>
      <c r="O11" s="13">
        <f>O10+E24*COS(RADIANS(C36))</f>
        <v>2023.471287114919</v>
      </c>
      <c r="P11" s="11">
        <f>IF(F24&lt;&gt;0,-F24,M11)</f>
        <v>-200</v>
      </c>
      <c r="Q11" s="11"/>
      <c r="R11" s="75">
        <f>R20+50</f>
        <v>995.6034845708059</v>
      </c>
      <c r="S11" s="13">
        <f>S10</f>
        <v>-95.93952564928098</v>
      </c>
      <c r="T11" s="63">
        <f>R20</f>
        <v>945.6034845708059</v>
      </c>
      <c r="U11" s="74">
        <f>-C27-50</f>
        <v>-145.939525649281</v>
      </c>
    </row>
    <row r="12" spans="3:21" ht="12.75" customHeight="1" hidden="1">
      <c r="C12" s="15">
        <f>C11</f>
        <v>898.4523534901671</v>
      </c>
      <c r="D12" s="11">
        <f>-(F20+D20)</f>
        <v>-227</v>
      </c>
      <c r="E12" s="11"/>
      <c r="F12" s="11">
        <f>F11</f>
        <v>1690.6668084834232</v>
      </c>
      <c r="G12" s="13">
        <f>G11-D21</f>
        <v>-258</v>
      </c>
      <c r="H12" s="12"/>
      <c r="I12" s="12">
        <f>I11</f>
        <v>1936.8687467364753</v>
      </c>
      <c r="J12" s="12">
        <f>J11-D22</f>
        <v>-242</v>
      </c>
      <c r="K12" s="12"/>
      <c r="L12" s="12">
        <f>L11</f>
        <v>2023.471287114919</v>
      </c>
      <c r="M12" s="13">
        <f>M11-D23</f>
        <v>-240</v>
      </c>
      <c r="N12" s="11"/>
      <c r="O12" s="13">
        <f>O11</f>
        <v>2023.471287114919</v>
      </c>
      <c r="P12" s="11">
        <f>P11-D24</f>
        <v>-220</v>
      </c>
      <c r="Q12" s="11"/>
      <c r="R12" s="11"/>
      <c r="S12" s="11"/>
      <c r="T12" s="11"/>
      <c r="U12" s="14"/>
    </row>
    <row r="13" spans="3:21" ht="12.75" customHeight="1" hidden="1">
      <c r="C13" s="15">
        <v>0</v>
      </c>
      <c r="D13" s="11">
        <f>-C20</f>
        <v>-230</v>
      </c>
      <c r="E13" s="11"/>
      <c r="F13" s="11">
        <f>F10</f>
        <v>898.4523534901671</v>
      </c>
      <c r="G13" s="12">
        <f>-C21+G10</f>
        <v>-227</v>
      </c>
      <c r="H13" s="12"/>
      <c r="I13" s="12">
        <f>I10</f>
        <v>1690.6668084834232</v>
      </c>
      <c r="J13" s="12">
        <f>G12</f>
        <v>-258</v>
      </c>
      <c r="K13" s="12"/>
      <c r="L13" s="12">
        <f>L10</f>
        <v>1936.8687467364753</v>
      </c>
      <c r="M13" s="13">
        <f>J12</f>
        <v>-242</v>
      </c>
      <c r="N13" s="11"/>
      <c r="O13" s="13">
        <f>O10</f>
        <v>2023.471287114919</v>
      </c>
      <c r="P13" s="13">
        <f>M12</f>
        <v>-240</v>
      </c>
      <c r="Q13" s="11"/>
      <c r="R13" s="11"/>
      <c r="S13" s="11"/>
      <c r="T13" s="11"/>
      <c r="U13" s="14"/>
    </row>
    <row r="14" spans="3:21" ht="12.75" customHeight="1" hidden="1" thickBot="1">
      <c r="C14" s="16"/>
      <c r="D14" s="17"/>
      <c r="E14" s="17"/>
      <c r="F14" s="17"/>
      <c r="G14" s="18"/>
      <c r="H14" s="18"/>
      <c r="I14" s="18"/>
      <c r="J14" s="18"/>
      <c r="K14" s="18"/>
      <c r="L14" s="18"/>
      <c r="M14" s="19"/>
      <c r="N14" s="17"/>
      <c r="O14" s="17"/>
      <c r="P14" s="17"/>
      <c r="Q14" s="17"/>
      <c r="R14" s="17"/>
      <c r="S14" s="17"/>
      <c r="T14" s="17"/>
      <c r="U14" s="20"/>
    </row>
    <row r="15" ht="12.75" customHeight="1" hidden="1"/>
    <row r="16" ht="12.75" customHeight="1" hidden="1"/>
    <row r="17" spans="1:19" s="4" customFormat="1" ht="12.75" customHeight="1" hidden="1" thickBot="1">
      <c r="A17" s="143" t="s">
        <v>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S17" s="87"/>
    </row>
    <row r="18" spans="2:13" s="55" customFormat="1" ht="12.75" customHeight="1" thickTop="1">
      <c r="B18" s="142"/>
      <c r="C18" s="153" t="s">
        <v>36</v>
      </c>
      <c r="D18" s="154"/>
      <c r="E18" s="154"/>
      <c r="F18" s="155"/>
      <c r="G18" s="54"/>
      <c r="H18" s="54"/>
      <c r="I18" s="54"/>
      <c r="J18" s="54"/>
      <c r="K18" s="54"/>
      <c r="L18" s="54"/>
      <c r="M18" s="54"/>
    </row>
    <row r="19" spans="2:18" s="55" customFormat="1" ht="12.75" customHeight="1">
      <c r="B19" s="142"/>
      <c r="C19" s="89" t="s">
        <v>9</v>
      </c>
      <c r="D19" s="90" t="s">
        <v>20</v>
      </c>
      <c r="E19" s="90" t="s">
        <v>18</v>
      </c>
      <c r="F19" s="91" t="s">
        <v>19</v>
      </c>
      <c r="J19" s="56" t="s">
        <v>1</v>
      </c>
      <c r="K19" s="57" t="s">
        <v>2</v>
      </c>
      <c r="L19" s="57" t="s">
        <v>3</v>
      </c>
      <c r="M19" s="57" t="s">
        <v>4</v>
      </c>
      <c r="N19" s="57" t="s">
        <v>5</v>
      </c>
      <c r="O19" s="57" t="s">
        <v>6</v>
      </c>
      <c r="P19" s="57" t="s">
        <v>7</v>
      </c>
      <c r="Q19" s="57" t="s">
        <v>26</v>
      </c>
      <c r="R19" s="58" t="s">
        <v>27</v>
      </c>
    </row>
    <row r="20" spans="2:18" s="55" customFormat="1" ht="12.75" customHeight="1" thickBot="1">
      <c r="B20" s="92" t="s">
        <v>0</v>
      </c>
      <c r="C20" s="78">
        <v>230</v>
      </c>
      <c r="D20" s="79">
        <v>210</v>
      </c>
      <c r="E20" s="79">
        <v>899</v>
      </c>
      <c r="F20" s="80">
        <v>17</v>
      </c>
      <c r="J20" s="56">
        <f>IF(C20&lt;&gt;0,(E20/3)*(2*D20+C20)/(D20+C20),0)</f>
        <v>442.68939393939394</v>
      </c>
      <c r="K20" s="57">
        <f>IF(D20&lt;&gt;0,((E20*C20)-(J20*C20)+(J20*D20))/E20,0)</f>
        <v>220.15151515151513</v>
      </c>
      <c r="L20" s="57">
        <f>(C20+D20)/(2*100)*E20/100</f>
        <v>19.778000000000002</v>
      </c>
      <c r="M20" s="57">
        <f>((F20*J20/E20))</f>
        <v>8.371212121212121</v>
      </c>
      <c r="N20" s="57">
        <f>K20*CgRel/100</f>
        <v>66.04545454545455</v>
      </c>
      <c r="O20" s="57">
        <f>N20+M20</f>
        <v>74.41666666666667</v>
      </c>
      <c r="P20" s="59">
        <f>O20*L20*10000</f>
        <v>14718128.333333336</v>
      </c>
      <c r="Q20" s="60"/>
      <c r="R20" s="61">
        <f>Q25/L25</f>
        <v>945.6034845708059</v>
      </c>
    </row>
    <row r="21" spans="2:18" s="55" customFormat="1" ht="12.75" customHeight="1" thickTop="1">
      <c r="B21" s="93" t="s">
        <v>11</v>
      </c>
      <c r="C21" s="77">
        <f>IF(E20=0,0,D20)</f>
        <v>210</v>
      </c>
      <c r="D21" s="81">
        <v>180</v>
      </c>
      <c r="E21" s="82">
        <v>800</v>
      </c>
      <c r="F21" s="83">
        <v>78</v>
      </c>
      <c r="J21" s="56">
        <f>IF(C21&lt;&gt;0,(E21/3)*(2*D21+C21)/(D21+C21),0)</f>
        <v>389.7435897435897</v>
      </c>
      <c r="K21" s="57">
        <f>IF(D21&lt;&gt;0,((E21*C21)-(J21*C21)+(J21*D21))/E21,0)</f>
        <v>195.3846153846154</v>
      </c>
      <c r="L21" s="57">
        <f>(C21+D21)/(2*100)*E21/100</f>
        <v>15.6</v>
      </c>
      <c r="M21" s="57">
        <f>IF(D21&lt;&gt;0,((F21-F20)*J21/E21)+F20,0)</f>
        <v>46.717948717948715</v>
      </c>
      <c r="N21" s="57">
        <f>K21*CgRel/100</f>
        <v>58.61538461538462</v>
      </c>
      <c r="O21" s="57">
        <f>N21+M21</f>
        <v>105.33333333333334</v>
      </c>
      <c r="P21" s="59">
        <f>O21*L21*10000</f>
        <v>16432000</v>
      </c>
      <c r="Q21" s="62"/>
      <c r="R21" s="62"/>
    </row>
    <row r="22" spans="2:18" s="55" customFormat="1" ht="12.75" customHeight="1">
      <c r="B22" s="93" t="s">
        <v>12</v>
      </c>
      <c r="C22" s="77">
        <f>IF(E21=0,0,D21)</f>
        <v>180</v>
      </c>
      <c r="D22" s="84">
        <v>120</v>
      </c>
      <c r="E22" s="79">
        <v>250</v>
      </c>
      <c r="F22" s="80">
        <v>122</v>
      </c>
      <c r="J22" s="56">
        <f>IF(D22&lt;&gt;0,(E22/3)*(2*D22+C22)/(D22+C22),0)</f>
        <v>116.66666666666667</v>
      </c>
      <c r="K22" s="57">
        <f>IF(D22&lt;&gt;0,((E22*C22)-(J22*C22)+(J22*D22))/E22,0)</f>
        <v>152</v>
      </c>
      <c r="L22" s="57">
        <f>(C22+D22)/(2*100)*E22/100</f>
        <v>3.75</v>
      </c>
      <c r="M22" s="57">
        <f>IF(D22&lt;&gt;0,((F22-F21)*J22/E22)+F21,0)</f>
        <v>98.53333333333333</v>
      </c>
      <c r="N22" s="57">
        <f>K22*CgRel/100</f>
        <v>45.6</v>
      </c>
      <c r="O22" s="57">
        <f>N22+M22</f>
        <v>144.13333333333333</v>
      </c>
      <c r="P22" s="59">
        <f>O22*L22*10000</f>
        <v>5405000</v>
      </c>
      <c r="Q22" s="62"/>
      <c r="R22" s="62"/>
    </row>
    <row r="23" spans="2:18" s="55" customFormat="1" ht="12.75" customHeight="1">
      <c r="B23" s="93" t="s">
        <v>13</v>
      </c>
      <c r="C23" s="77">
        <f>IF(E22=0,0,D22)</f>
        <v>120</v>
      </c>
      <c r="D23" s="81">
        <v>80</v>
      </c>
      <c r="E23" s="82">
        <v>100</v>
      </c>
      <c r="F23" s="83">
        <v>160</v>
      </c>
      <c r="J23" s="56">
        <f>IF(C23&lt;&gt;0,(E23/3)*(2*D23+C23)/(D23+C23),0)</f>
        <v>46.66666666666667</v>
      </c>
      <c r="K23" s="57">
        <f>IF(D23&lt;&gt;0,((E23*C23)-(J23*C23)+(J23*D23))/E23,0)</f>
        <v>101.33333333333331</v>
      </c>
      <c r="L23" s="57">
        <f>(C23+D23)/(2*100)*E23/100</f>
        <v>1</v>
      </c>
      <c r="M23" s="57">
        <f>IF(D23&lt;&gt;0,((F23-F22)*J23/E23)+F22,0)</f>
        <v>139.73333333333335</v>
      </c>
      <c r="N23" s="57">
        <f>K23*CgRel/100</f>
        <v>30.399999999999995</v>
      </c>
      <c r="O23" s="57">
        <f>N23+M23</f>
        <v>170.13333333333335</v>
      </c>
      <c r="P23" s="59">
        <f>O23*L23*10000</f>
        <v>1701333.3333333335</v>
      </c>
      <c r="Q23" s="62"/>
      <c r="R23" s="62"/>
    </row>
    <row r="24" spans="2:18" s="55" customFormat="1" ht="12.75" customHeight="1" thickBot="1">
      <c r="B24" s="93" t="s">
        <v>14</v>
      </c>
      <c r="C24" s="77">
        <f>IF(E23=0,0,D23)</f>
        <v>80</v>
      </c>
      <c r="D24" s="78">
        <v>20</v>
      </c>
      <c r="E24" s="85">
        <v>50</v>
      </c>
      <c r="F24" s="86">
        <v>200</v>
      </c>
      <c r="J24" s="64">
        <f>IF(C24&lt;&gt;0,(E24/3)*(2*D24+C24)/(D24+C24),0)</f>
        <v>20.000000000000004</v>
      </c>
      <c r="K24" s="65">
        <f>IF(D24&lt;&gt;0,((E24*C24)-(J24*C24)+(J24*D24))/E24,0)</f>
        <v>56</v>
      </c>
      <c r="L24" s="65">
        <f>(C24+D24)/(2*100)*E24/100</f>
        <v>0.25</v>
      </c>
      <c r="M24" s="65">
        <f>IF(D24&lt;&gt;0,((F24-F23)*J24/E24)+F23,0)</f>
        <v>176</v>
      </c>
      <c r="N24" s="65">
        <f>K24*CgRel/100</f>
        <v>16.8</v>
      </c>
      <c r="O24" s="65">
        <f>N24+M24</f>
        <v>192.8</v>
      </c>
      <c r="P24" s="66">
        <f>O24*L24*10000</f>
        <v>482000</v>
      </c>
      <c r="Q24" s="62"/>
      <c r="R24" s="62"/>
    </row>
    <row r="25" spans="2:18" ht="12.75" customHeight="1" thickBot="1" thickTop="1">
      <c r="B25" s="5"/>
      <c r="C25" s="5"/>
      <c r="D25" s="5"/>
      <c r="E25" s="5"/>
      <c r="F25" s="5"/>
      <c r="J25" s="45"/>
      <c r="K25" s="94" t="s">
        <v>8</v>
      </c>
      <c r="L25" s="95">
        <f>SUM(L20:L24)</f>
        <v>40.378</v>
      </c>
      <c r="M25" s="94"/>
      <c r="N25" s="94"/>
      <c r="O25" s="94" t="s">
        <v>15</v>
      </c>
      <c r="P25" s="94">
        <f>SUM(P20:P24)</f>
        <v>38738461.66666667</v>
      </c>
      <c r="Q25" s="96">
        <f>J20*L20+(J21+E20)*L21+(J22+E21+E20)*L22+(J23+E22+E21+E20)*L23+(J24+E23+E22+E21+E20)*L24</f>
        <v>38181.5775</v>
      </c>
      <c r="R25" s="11"/>
    </row>
    <row r="26" spans="2:16" s="55" customFormat="1" ht="12.75" customHeight="1" thickTop="1">
      <c r="B26" s="71" t="s">
        <v>16</v>
      </c>
      <c r="C26" s="69" t="s">
        <v>17</v>
      </c>
      <c r="D26" s="67" t="s">
        <v>21</v>
      </c>
      <c r="E26" s="68" t="s">
        <v>23</v>
      </c>
      <c r="F26" s="69" t="s">
        <v>22</v>
      </c>
      <c r="G26" s="70" t="s">
        <v>34</v>
      </c>
      <c r="H26" s="97"/>
      <c r="I26" s="120"/>
      <c r="J26" s="120"/>
      <c r="K26" s="121"/>
      <c r="L26" s="62"/>
      <c r="M26" s="62"/>
      <c r="N26" s="62"/>
      <c r="O26" s="62"/>
      <c r="P26" s="62"/>
    </row>
    <row r="27" spans="2:16" s="72" customFormat="1" ht="12.75" customHeight="1" thickBot="1">
      <c r="B27" s="148">
        <v>30</v>
      </c>
      <c r="C27" s="149">
        <f>P25/(L25*10000)</f>
        <v>95.93952564928098</v>
      </c>
      <c r="D27" s="151">
        <f>2*L25</f>
        <v>80.756</v>
      </c>
      <c r="E27" s="73">
        <f>4*((F27*10/2)^2)/D27</f>
        <v>21.82277973153698</v>
      </c>
      <c r="F27" s="152">
        <f>SUM(E20:E24)/1000*2</f>
        <v>4.198</v>
      </c>
      <c r="G27" s="147">
        <f>(D27*10000)/(F27*1000)</f>
        <v>192.36779418770843</v>
      </c>
      <c r="H27" s="100"/>
      <c r="I27" s="98"/>
      <c r="J27" s="98"/>
      <c r="K27" s="99"/>
      <c r="L27" s="119"/>
      <c r="M27" s="119"/>
      <c r="N27" s="119"/>
      <c r="O27" s="119"/>
      <c r="P27" s="119"/>
    </row>
    <row r="28" spans="3:17" s="72" customFormat="1" ht="12.75" customHeight="1" thickTop="1">
      <c r="C28" s="122"/>
      <c r="D28" s="123"/>
      <c r="E28" s="124"/>
      <c r="F28" s="125"/>
      <c r="G28" s="126"/>
      <c r="H28" s="98"/>
      <c r="I28" s="98"/>
      <c r="J28" s="98"/>
      <c r="K28" s="98"/>
      <c r="L28" s="98"/>
      <c r="M28" s="99"/>
      <c r="N28" s="105"/>
      <c r="O28" s="106"/>
      <c r="P28" s="107"/>
      <c r="Q28" s="100"/>
    </row>
    <row r="29" spans="3:17" s="72" customFormat="1" ht="38.25" customHeight="1" thickBot="1">
      <c r="C29" s="101"/>
      <c r="D29" s="104"/>
      <c r="E29" s="97"/>
      <c r="F29" s="105"/>
      <c r="G29" s="98"/>
      <c r="K29" s="98"/>
      <c r="L29" s="98"/>
      <c r="M29" s="98"/>
      <c r="N29" s="98"/>
      <c r="O29" s="98"/>
      <c r="P29" s="99"/>
      <c r="Q29" s="105"/>
    </row>
    <row r="30" spans="2:17" ht="12.75" customHeight="1" thickTop="1">
      <c r="B30" s="132"/>
      <c r="C30" s="130" t="s">
        <v>37</v>
      </c>
      <c r="D30" s="127" t="s">
        <v>38</v>
      </c>
      <c r="E30" s="128" t="s">
        <v>40</v>
      </c>
      <c r="F30" s="28"/>
      <c r="G30" s="29"/>
      <c r="K30" s="57" t="s">
        <v>42</v>
      </c>
      <c r="L30" s="12"/>
      <c r="M30" s="23"/>
      <c r="N30" s="109" t="s">
        <v>45</v>
      </c>
      <c r="O30" s="24"/>
      <c r="P30" s="25"/>
      <c r="Q30" s="22"/>
    </row>
    <row r="31" spans="2:17" s="11" customFormat="1" ht="12.75" customHeight="1" thickBot="1">
      <c r="B31" s="133"/>
      <c r="C31" s="131" t="s">
        <v>35</v>
      </c>
      <c r="D31" s="137" t="s">
        <v>39</v>
      </c>
      <c r="E31" s="129" t="s">
        <v>41</v>
      </c>
      <c r="F31" s="28"/>
      <c r="G31" s="29"/>
      <c r="K31" s="57" t="s">
        <v>43</v>
      </c>
      <c r="L31" s="29"/>
      <c r="M31" s="114">
        <v>0</v>
      </c>
      <c r="N31" s="46">
        <f>ofset</f>
        <v>50</v>
      </c>
      <c r="O31" s="29"/>
      <c r="P31" s="11" t="s">
        <v>46</v>
      </c>
      <c r="Q31" s="116">
        <v>50</v>
      </c>
    </row>
    <row r="32" spans="2:23" s="11" customFormat="1" ht="12.75" customHeight="1" thickBot="1" thickTop="1">
      <c r="B32" s="134" t="s">
        <v>28</v>
      </c>
      <c r="C32" s="102">
        <v>2</v>
      </c>
      <c r="D32" s="139">
        <f>E20*SIN(RADIANS(C32))</f>
        <v>31.37464753554837</v>
      </c>
      <c r="E32" s="146">
        <f>D32</f>
        <v>31.37464753554837</v>
      </c>
      <c r="F32" s="108"/>
      <c r="G32" s="156"/>
      <c r="K32" s="57">
        <f>K20*D32</f>
        <v>6907.176192295724</v>
      </c>
      <c r="M32" s="117">
        <f>E20*COS(RADIANS(C32))</f>
        <v>898.4523534901671</v>
      </c>
      <c r="N32" s="13">
        <f>ofset+E32</f>
        <v>81.37464753554838</v>
      </c>
      <c r="O32" s="46"/>
      <c r="P32" s="46"/>
      <c r="Q32" s="110"/>
      <c r="U32" s="21"/>
      <c r="V32" s="30"/>
      <c r="W32" s="31"/>
    </row>
    <row r="33" spans="2:22" s="11" customFormat="1" ht="12.75" customHeight="1" thickTop="1">
      <c r="B33" s="135" t="s">
        <v>29</v>
      </c>
      <c r="C33" s="103">
        <v>8</v>
      </c>
      <c r="D33" s="138">
        <f>E21*SIN(RADIANS(C33))</f>
        <v>111.33848076805235</v>
      </c>
      <c r="E33" s="138">
        <f>E32+D33</f>
        <v>142.7131283036007</v>
      </c>
      <c r="F33" s="157" t="s">
        <v>47</v>
      </c>
      <c r="G33" s="157" t="s">
        <v>21</v>
      </c>
      <c r="I33" s="150"/>
      <c r="K33" s="57">
        <f>K21*D33</f>
        <v>21753.826242373307</v>
      </c>
      <c r="M33" s="114">
        <f>M32+E21*COS(RADIANS(C33))</f>
        <v>1690.6668084834232</v>
      </c>
      <c r="N33" s="13">
        <f>ofset+E33</f>
        <v>192.7131283036007</v>
      </c>
      <c r="O33" s="48"/>
      <c r="P33" s="48"/>
      <c r="Q33" s="110"/>
      <c r="U33" s="30"/>
      <c r="V33" s="30"/>
    </row>
    <row r="34" spans="2:22" s="11" customFormat="1" ht="12.75" customHeight="1">
      <c r="B34" s="135" t="s">
        <v>30</v>
      </c>
      <c r="C34" s="103">
        <v>10</v>
      </c>
      <c r="D34" s="138">
        <f>E22*SIN(RADIANS(C34))</f>
        <v>43.412044416732584</v>
      </c>
      <c r="E34" s="138">
        <f>E33+D34</f>
        <v>186.1251727203333</v>
      </c>
      <c r="F34" s="158" t="s">
        <v>49</v>
      </c>
      <c r="G34" s="158" t="s">
        <v>48</v>
      </c>
      <c r="K34" s="57">
        <f>K22*D34</f>
        <v>6598.630751343353</v>
      </c>
      <c r="L34" s="49"/>
      <c r="M34" s="114">
        <f>M33+E22*COS(RADIANS(C34))</f>
        <v>1936.8687467364753</v>
      </c>
      <c r="N34" s="13">
        <f>ofset+E34</f>
        <v>236.1251727203333</v>
      </c>
      <c r="O34" s="46"/>
      <c r="P34" s="46"/>
      <c r="Q34" s="111"/>
      <c r="U34" s="30"/>
      <c r="V34" s="30"/>
    </row>
    <row r="35" spans="2:22" s="11" customFormat="1" ht="12.75" customHeight="1">
      <c r="B35" s="135" t="s">
        <v>31</v>
      </c>
      <c r="C35" s="76">
        <v>30</v>
      </c>
      <c r="D35" s="138">
        <f>E23*SIN(RADIANS(C35))</f>
        <v>49.99999999999999</v>
      </c>
      <c r="E35" s="138">
        <f>E34+D35</f>
        <v>236.1251727203333</v>
      </c>
      <c r="F35" s="159" t="s">
        <v>44</v>
      </c>
      <c r="G35" s="159" t="s">
        <v>44</v>
      </c>
      <c r="K35" s="57">
        <f>K23*D35</f>
        <v>5066.666666666665</v>
      </c>
      <c r="L35" s="49"/>
      <c r="M35" s="114">
        <f>M34+E23*COS(RADIANS(C35))</f>
        <v>2023.471287114919</v>
      </c>
      <c r="N35" s="13">
        <f>ofset+E35</f>
        <v>286.1251727203333</v>
      </c>
      <c r="O35" s="46"/>
      <c r="P35" s="46"/>
      <c r="Q35" s="111"/>
      <c r="U35" s="30"/>
      <c r="V35" s="30"/>
    </row>
    <row r="36" spans="2:17" s="11" customFormat="1" ht="12.75" customHeight="1" thickBot="1">
      <c r="B36" s="136" t="s">
        <v>32</v>
      </c>
      <c r="C36" s="144">
        <v>90</v>
      </c>
      <c r="D36" s="145">
        <f>E24*SIN(RADIANS(C36))</f>
        <v>50</v>
      </c>
      <c r="E36" s="145">
        <f>E35+D36</f>
        <v>286.1251727203333</v>
      </c>
      <c r="F36" s="145">
        <f>SUM(K32:K36)/1000</f>
        <v>43.12629985267905</v>
      </c>
      <c r="G36" s="145">
        <f>F36*2</f>
        <v>86.2525997053581</v>
      </c>
      <c r="K36" s="57">
        <f>K24*D36</f>
        <v>2800</v>
      </c>
      <c r="L36" s="49"/>
      <c r="M36" s="115">
        <f>M35+E24*COS(RADIANS(C36))</f>
        <v>2023.471287114919</v>
      </c>
      <c r="N36" s="118">
        <f>ofset+E36</f>
        <v>336.1251727203333</v>
      </c>
      <c r="O36" s="112"/>
      <c r="P36" s="112"/>
      <c r="Q36" s="113"/>
    </row>
    <row r="37" spans="2:15" s="11" customFormat="1" ht="12.75" customHeight="1" thickTop="1">
      <c r="B37" s="32"/>
      <c r="C37" s="51"/>
      <c r="D37" s="141"/>
      <c r="E37" s="140"/>
      <c r="F37" s="52"/>
      <c r="G37" s="50"/>
      <c r="H37" s="53"/>
      <c r="I37" s="53"/>
      <c r="J37" s="53"/>
      <c r="K37" s="53"/>
      <c r="L37" s="53"/>
      <c r="M37" s="47"/>
      <c r="N37" s="47"/>
      <c r="O37" s="47"/>
    </row>
    <row r="38" spans="2:18" s="11" customFormat="1" ht="12.75" customHeight="1">
      <c r="B38" s="33"/>
      <c r="C38" s="33"/>
      <c r="D38" s="34"/>
      <c r="G38" s="12"/>
      <c r="H38" s="12"/>
      <c r="I38" s="12"/>
      <c r="J38" s="12"/>
      <c r="K38" s="12"/>
      <c r="L38" s="12"/>
      <c r="M38" s="13"/>
      <c r="R38" s="88"/>
    </row>
    <row r="39" spans="6:18" s="11" customFormat="1" ht="12.75" customHeight="1">
      <c r="F39" s="28"/>
      <c r="H39" s="12"/>
      <c r="I39" s="12"/>
      <c r="J39" s="12"/>
      <c r="K39" s="12"/>
      <c r="L39" s="12"/>
      <c r="M39" s="13"/>
      <c r="R39" s="88"/>
    </row>
    <row r="40" spans="7:18" s="11" customFormat="1" ht="12.75" customHeight="1">
      <c r="G40" s="12"/>
      <c r="H40" s="12"/>
      <c r="I40" s="12"/>
      <c r="J40" s="12"/>
      <c r="K40" s="12"/>
      <c r="L40" s="12"/>
      <c r="M40" s="13"/>
      <c r="R40" s="88"/>
    </row>
    <row r="41" spans="7:18" s="11" customFormat="1" ht="12.75" customHeight="1">
      <c r="G41" s="12"/>
      <c r="H41" s="12"/>
      <c r="I41" s="12"/>
      <c r="J41" s="12"/>
      <c r="K41" s="12"/>
      <c r="L41" s="12"/>
      <c r="M41" s="13"/>
      <c r="R41" s="88"/>
    </row>
    <row r="42" spans="7:18" s="11" customFormat="1" ht="12.75" customHeight="1">
      <c r="G42" s="12"/>
      <c r="H42" s="12"/>
      <c r="I42" s="12"/>
      <c r="J42" s="12"/>
      <c r="K42" s="12"/>
      <c r="L42" s="12"/>
      <c r="M42" s="13"/>
      <c r="R42" s="88"/>
    </row>
    <row r="43" spans="7:18" s="11" customFormat="1" ht="12.75" customHeight="1">
      <c r="G43" s="12"/>
      <c r="H43" s="35"/>
      <c r="I43" s="12"/>
      <c r="J43" s="12"/>
      <c r="K43" s="12"/>
      <c r="L43" s="12"/>
      <c r="M43" s="13"/>
      <c r="R43" s="88"/>
    </row>
    <row r="44" spans="7:18" s="11" customFormat="1" ht="12.75" customHeight="1">
      <c r="G44" s="12"/>
      <c r="H44" s="12"/>
      <c r="I44" s="12"/>
      <c r="J44" s="12"/>
      <c r="K44" s="12"/>
      <c r="L44" s="12"/>
      <c r="M44" s="13"/>
      <c r="R44" s="88"/>
    </row>
    <row r="45" spans="7:18" s="11" customFormat="1" ht="12.75" customHeight="1">
      <c r="G45" s="12"/>
      <c r="H45" s="12"/>
      <c r="I45" s="12"/>
      <c r="J45" s="12"/>
      <c r="K45" s="12"/>
      <c r="L45" s="12"/>
      <c r="M45" s="13"/>
      <c r="R45" s="88"/>
    </row>
    <row r="46" spans="6:18" s="11" customFormat="1" ht="12.75" customHeight="1">
      <c r="F46" s="36"/>
      <c r="G46" s="37"/>
      <c r="H46" s="37"/>
      <c r="I46" s="37"/>
      <c r="J46" s="37"/>
      <c r="K46" s="37"/>
      <c r="L46" s="37"/>
      <c r="M46" s="38"/>
      <c r="R46" s="88"/>
    </row>
    <row r="47" spans="6:18" s="11" customFormat="1" ht="12.75" customHeight="1">
      <c r="F47" s="36"/>
      <c r="G47" s="37"/>
      <c r="H47" s="37"/>
      <c r="I47" s="37"/>
      <c r="J47" s="37"/>
      <c r="K47" s="37"/>
      <c r="L47" s="37"/>
      <c r="M47" s="38"/>
      <c r="N47" s="39"/>
      <c r="R47" s="88"/>
    </row>
    <row r="48" spans="6:18" s="11" customFormat="1" ht="12.75" customHeight="1">
      <c r="F48" s="36"/>
      <c r="G48" s="37"/>
      <c r="H48" s="37"/>
      <c r="I48" s="37"/>
      <c r="J48" s="37"/>
      <c r="K48" s="37"/>
      <c r="L48" s="37"/>
      <c r="M48" s="38"/>
      <c r="N48" s="39"/>
      <c r="R48" s="88"/>
    </row>
    <row r="49" spans="6:18" s="11" customFormat="1" ht="12.75" customHeight="1">
      <c r="F49" s="36"/>
      <c r="G49" s="37"/>
      <c r="H49" s="37"/>
      <c r="I49" s="37"/>
      <c r="J49" s="37"/>
      <c r="K49" s="37"/>
      <c r="L49" s="37"/>
      <c r="M49" s="38"/>
      <c r="N49" s="39"/>
      <c r="R49" s="88"/>
    </row>
    <row r="50" spans="6:18" s="11" customFormat="1" ht="12.75" customHeight="1">
      <c r="F50" s="36"/>
      <c r="G50" s="37"/>
      <c r="H50" s="37"/>
      <c r="I50" s="37"/>
      <c r="J50" s="37"/>
      <c r="K50" s="37"/>
      <c r="L50" s="37"/>
      <c r="M50" s="38"/>
      <c r="N50" s="39"/>
      <c r="R50" s="88"/>
    </row>
    <row r="51" spans="6:14" s="11" customFormat="1" ht="12.75" customHeight="1">
      <c r="F51" s="36"/>
      <c r="G51" s="37"/>
      <c r="H51" s="37"/>
      <c r="I51" s="37"/>
      <c r="J51" s="37"/>
      <c r="K51" s="37"/>
      <c r="L51" s="37"/>
      <c r="M51" s="38"/>
      <c r="N51" s="39"/>
    </row>
    <row r="52" spans="6:14" s="11" customFormat="1" ht="12.75" customHeight="1">
      <c r="F52" s="36"/>
      <c r="G52" s="37"/>
      <c r="H52" s="37"/>
      <c r="I52" s="37"/>
      <c r="J52" s="37"/>
      <c r="K52" s="37"/>
      <c r="L52" s="37"/>
      <c r="M52" s="38"/>
      <c r="N52" s="39"/>
    </row>
    <row r="53" spans="6:14" s="11" customFormat="1" ht="12.75" customHeight="1">
      <c r="F53" s="36"/>
      <c r="G53" s="37"/>
      <c r="H53" s="37"/>
      <c r="I53" s="37"/>
      <c r="J53" s="37"/>
      <c r="K53" s="37"/>
      <c r="L53" s="37"/>
      <c r="M53" s="38"/>
      <c r="N53" s="39"/>
    </row>
    <row r="54" spans="6:14" s="11" customFormat="1" ht="12.75" customHeight="1">
      <c r="F54" s="36"/>
      <c r="G54" s="37"/>
      <c r="H54" s="37"/>
      <c r="I54" s="37"/>
      <c r="J54" s="37"/>
      <c r="K54" s="37"/>
      <c r="L54" s="37"/>
      <c r="M54" s="38"/>
      <c r="N54" s="39"/>
    </row>
    <row r="55" spans="6:14" s="11" customFormat="1" ht="12.75" customHeight="1">
      <c r="F55" s="36"/>
      <c r="G55" s="37"/>
      <c r="H55" s="37"/>
      <c r="I55" s="37"/>
      <c r="J55" s="37"/>
      <c r="K55" s="37"/>
      <c r="L55" s="37"/>
      <c r="M55" s="38"/>
      <c r="N55" s="39"/>
    </row>
    <row r="56" spans="2:14" s="11" customFormat="1" ht="12.75" customHeight="1">
      <c r="B56" s="26"/>
      <c r="F56" s="36"/>
      <c r="G56" s="37"/>
      <c r="H56" s="37"/>
      <c r="I56" s="37"/>
      <c r="J56" s="37"/>
      <c r="K56" s="37"/>
      <c r="L56" s="37"/>
      <c r="M56" s="38"/>
      <c r="N56" s="39"/>
    </row>
    <row r="57" spans="2:14" s="11" customFormat="1" ht="12.75" customHeight="1">
      <c r="B57" s="27"/>
      <c r="C57" s="27"/>
      <c r="F57" s="36"/>
      <c r="G57" s="37"/>
      <c r="H57" s="37"/>
      <c r="I57" s="37"/>
      <c r="J57" s="37"/>
      <c r="K57" s="37"/>
      <c r="L57" s="37"/>
      <c r="M57" s="38"/>
      <c r="N57" s="42"/>
    </row>
    <row r="58" spans="2:16" s="11" customFormat="1" ht="12.75" customHeight="1">
      <c r="B58" s="27"/>
      <c r="C58" s="27"/>
      <c r="F58" s="40"/>
      <c r="G58" s="12"/>
      <c r="H58" s="12"/>
      <c r="I58" s="12"/>
      <c r="J58" s="12"/>
      <c r="K58" s="12"/>
      <c r="L58" s="13"/>
      <c r="M58" s="41"/>
      <c r="N58" s="1"/>
      <c r="O58" s="43"/>
      <c r="P58" s="44"/>
    </row>
    <row r="59" spans="2:3" ht="12.75" customHeight="1">
      <c r="B59" s="27"/>
      <c r="C59" s="27"/>
    </row>
    <row r="60" spans="2:3" ht="12.75" customHeight="1">
      <c r="B60" s="27"/>
      <c r="C60" s="27"/>
    </row>
    <row r="61" spans="2:3" ht="12.75" customHeight="1">
      <c r="B61" s="26"/>
      <c r="C61" s="26"/>
    </row>
    <row r="62" spans="2:3" ht="12.75" customHeight="1">
      <c r="B62" s="11"/>
      <c r="C62" s="11"/>
    </row>
    <row r="63" spans="2:3" ht="12.75" customHeight="1">
      <c r="B63" s="11"/>
      <c r="C63" s="11"/>
    </row>
  </sheetData>
  <mergeCells count="1">
    <mergeCell ref="C18:F18"/>
  </mergeCells>
  <conditionalFormatting sqref="B33">
    <cfRule type="expression" priority="1" dxfId="0" stopIfTrue="1">
      <formula>IF($D$21=0,TRUE,FALSE)</formula>
    </cfRule>
  </conditionalFormatting>
  <conditionalFormatting sqref="C33:E33">
    <cfRule type="expression" priority="2" dxfId="1" stopIfTrue="1">
      <formula>IF($D$21=0,TRUE,FALSE)</formula>
    </cfRule>
  </conditionalFormatting>
  <conditionalFormatting sqref="B34">
    <cfRule type="expression" priority="3" dxfId="0" stopIfTrue="1">
      <formula>IF($D$22=0,TRUE,FALSE)</formula>
    </cfRule>
  </conditionalFormatting>
  <conditionalFormatting sqref="C34:E34">
    <cfRule type="expression" priority="4" dxfId="1" stopIfTrue="1">
      <formula>IF($D$22=0,TRUE,FALSE)</formula>
    </cfRule>
  </conditionalFormatting>
  <conditionalFormatting sqref="B35">
    <cfRule type="expression" priority="5" dxfId="0" stopIfTrue="1">
      <formula>IF($D$23=0,TRUE,FALSE)</formula>
    </cfRule>
  </conditionalFormatting>
  <conditionalFormatting sqref="C35:E35">
    <cfRule type="expression" priority="6" dxfId="1" stopIfTrue="1">
      <formula>IF($D$23=0,TRUE,FALSE)</formula>
    </cfRule>
  </conditionalFormatting>
  <conditionalFormatting sqref="B36">
    <cfRule type="expression" priority="7" dxfId="0" stopIfTrue="1">
      <formula>IF($D$24=0,TRUE,FALSE)</formula>
    </cfRule>
  </conditionalFormatting>
  <conditionalFormatting sqref="C36:E36">
    <cfRule type="expression" priority="8" dxfId="1" stopIfTrue="1">
      <formula>IF($D$24=0,TRUE,FALSE)</formula>
    </cfRule>
  </conditionalFormatting>
  <printOptions/>
  <pageMargins left="0.7874015748031497" right="0.3937007874015748" top="0.42" bottom="0.55" header="0.5118110236220472" footer="0.5118110236220472"/>
  <pageSetup horizontalDpi="300" verticalDpi="300" orientation="landscape" paperSize="9" scale="85" r:id="rId5"/>
  <headerFooter alignWithMargins="0">
    <oddHeader>&amp;L&amp;F&amp;R&amp;A</oddHeader>
    <oddFooter>&amp;R&amp;D</oddFooter>
  </headerFooter>
  <drawing r:id="rId4"/>
  <legacyDrawing r:id="rId3"/>
  <oleObjects>
    <oleObject progId="Designer.Drawing.7" shapeId="403937" r:id="rId1"/>
    <oleObject progId="Designer.Drawing.7" shapeId="43765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Dièdre composé</dc:title>
  <dc:subject/>
  <dc:creator>Frédéric GEORGE</dc:creator>
  <cp:keywords/>
  <dc:description/>
  <cp:lastModifiedBy>gris</cp:lastModifiedBy>
  <cp:lastPrinted>2004-03-14T10:54:12Z</cp:lastPrinted>
  <dcterms:created xsi:type="dcterms:W3CDTF">2000-02-17T14:51:50Z</dcterms:created>
  <dcterms:modified xsi:type="dcterms:W3CDTF">2004-03-15T10:26:11Z</dcterms:modified>
  <cp:category/>
  <cp:version/>
  <cp:contentType/>
  <cp:contentStatus/>
</cp:coreProperties>
</file>